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12'!$A$1:$I$60</definedName>
  </definedNames>
  <calcPr fullCalcOnLoad="1"/>
</workbook>
</file>

<file path=xl/sharedStrings.xml><?xml version="1.0" encoding="utf-8"?>
<sst xmlns="http://schemas.openxmlformats.org/spreadsheetml/2006/main" count="53" uniqueCount="48">
  <si>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</si>
  <si>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</si>
  <si>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</si>
  <si>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</si>
  <si>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</si>
  <si>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</si>
  <si>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</si>
  <si>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</si>
  <si>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</si>
  <si>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</si>
  <si>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</si>
  <si>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</si>
  <si>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</si>
  <si>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</si>
  <si>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</si>
  <si>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</si>
  <si>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</si>
  <si>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</si>
  <si>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</si>
  <si>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</si>
  <si>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</si>
  <si>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</si>
  <si>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</si>
  <si>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</si>
  <si>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</si>
  <si>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</si>
  <si>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</si>
  <si>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</si>
  <si>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</si>
  <si>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</si>
  <si>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</si>
  <si>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</si>
  <si>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</si>
  <si>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</si>
  <si>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</si>
  <si>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</si>
  <si>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</si>
  <si>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</si>
  <si>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</si>
  <si>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</si>
  <si>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>Відсоток виконання до плану 11 місяців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</si>
  <si>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</si>
  <si>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</si>
  <si>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</si>
  <si>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</si>
  <si>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</si>
  <si>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Залишок призначень до плану 3 місяців</t>
  </si>
  <si>
    <t>Касові видатки станом на 12.03.19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</si>
</sst>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0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7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7" fillId="3" borderId="0" applyNumberFormat="0" applyBorder="0" applyAlignment="0" applyProtection="0"/>
    <xf numFmtId="0" fontId="59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60" fillId="47" borderId="12" applyNumberFormat="0" applyAlignment="0" applyProtection="0"/>
    <xf numFmtId="0" fontId="19" fillId="0" borderId="13" applyNumberFormat="0" applyFill="0" applyAlignment="0" applyProtection="0"/>
    <xf numFmtId="0" fontId="61" fillId="51" borderId="0" applyNumberFormat="0" applyBorder="0" applyAlignment="0" applyProtection="0"/>
    <xf numFmtId="0" fontId="21" fillId="0" borderId="0">
      <alignment/>
      <protection/>
    </xf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4" fontId="38" fillId="0" borderId="14" xfId="107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9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34" fillId="53" borderId="14" xfId="94" applyNumberFormat="1" applyFont="1" applyFill="1" applyBorder="1" applyAlignment="1">
      <alignment horizontal="center" vertical="center"/>
      <protection/>
    </xf>
    <xf numFmtId="0" fontId="28" fillId="0" borderId="14" xfId="112" applyFont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0" fillId="53" borderId="14" xfId="0" applyFont="1" applyFill="1" applyBorder="1" applyAlignment="1">
      <alignment/>
    </xf>
    <xf numFmtId="0" fontId="41" fillId="0" borderId="14" xfId="112" applyFont="1" applyBorder="1">
      <alignment/>
      <protection/>
    </xf>
    <xf numFmtId="194" fontId="42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194" fontId="43" fillId="0" borderId="14" xfId="0" applyNumberFormat="1" applyFont="1" applyFill="1" applyBorder="1" applyAlignment="1">
      <alignment horizontal="right" wrapText="1"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4" fontId="44" fillId="0" borderId="14" xfId="107" applyNumberFormat="1" applyFont="1" applyFill="1" applyBorder="1" applyAlignment="1">
      <alignment horizontal="center"/>
      <protection/>
    </xf>
    <xf numFmtId="0" fontId="45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6" fillId="0" borderId="14" xfId="112" applyFont="1" applyBorder="1">
      <alignment/>
      <protection/>
    </xf>
    <xf numFmtId="186" fontId="38" fillId="0" borderId="14" xfId="112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wrapText="1"/>
    </xf>
    <xf numFmtId="0" fontId="32" fillId="0" borderId="0" xfId="112" applyFont="1">
      <alignment/>
      <protection/>
    </xf>
    <xf numFmtId="186" fontId="32" fillId="52" borderId="14" xfId="112" applyNumberFormat="1" applyFont="1" applyFill="1" applyBorder="1" applyAlignment="1">
      <alignment horizontal="center"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2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32" fillId="0" borderId="17" xfId="112" applyFont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  <xf numFmtId="0" fontId="20" fillId="46" borderId="16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20" fillId="0" borderId="14" xfId="107" applyFont="1" applyBorder="1" applyAlignment="1">
      <alignment horizontal="center" vertical="center" wrapText="1"/>
      <protection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19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32" fillId="0" borderId="17" xfId="112" applyFont="1" applyFill="1" applyBorder="1" applyAlignment="1">
      <alignment horizont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32" fillId="0" borderId="20" xfId="112" applyFont="1" applyFill="1" applyBorder="1" applyAlignment="1">
      <alignment horizontal="center" wrapText="1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I18" sqref="AI18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17" style="2" hidden="1" customWidth="1"/>
    <col min="12" max="12" width="27.33203125" style="2" hidden="1" customWidth="1"/>
    <col min="13" max="13" width="15.5" style="2" hidden="1" customWidth="1"/>
    <col min="14" max="14" width="1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8.83203125" style="2" hidden="1" customWidth="1"/>
    <col min="26" max="26" width="15.33203125" style="2" hidden="1" customWidth="1"/>
    <col min="27" max="30" width="9.33203125" style="2" customWidth="1"/>
    <col min="31" max="16384" width="9.33203125" style="2" customWidth="1"/>
  </cols>
  <sheetData>
    <row r="1" spans="4:7" ht="74.25" customHeight="1" hidden="1">
      <c r="D1" s="107" t="s">
        <v>13</v>
      </c>
      <c r="E1" s="108"/>
      <c r="F1" s="24"/>
      <c r="G1" s="24"/>
    </row>
    <row r="2" spans="3:7" ht="39.75" customHeight="1">
      <c r="C2" s="71"/>
      <c r="D2" s="35"/>
      <c r="E2" s="24"/>
      <c r="F2" s="24"/>
      <c r="G2" s="24"/>
    </row>
    <row r="3" spans="1:9" ht="21" customHeight="1">
      <c r="A3" s="111" t="s">
        <v>14</v>
      </c>
      <c r="B3" s="111"/>
      <c r="C3" s="111"/>
      <c r="D3" s="111"/>
      <c r="E3" s="111"/>
      <c r="F3" s="111"/>
      <c r="G3" s="111"/>
      <c r="H3" s="111"/>
      <c r="I3" s="111"/>
    </row>
    <row r="4" spans="1:9" ht="20.25" customHeight="1">
      <c r="A4" s="110" t="s">
        <v>41</v>
      </c>
      <c r="B4" s="110"/>
      <c r="C4" s="110"/>
      <c r="D4" s="110"/>
      <c r="E4" s="110"/>
      <c r="F4" s="110"/>
      <c r="G4" s="110"/>
      <c r="H4" s="110"/>
      <c r="I4" s="110"/>
    </row>
    <row r="5" spans="1:13" ht="20.25" customHeight="1">
      <c r="A5" s="25"/>
      <c r="B5" s="25"/>
      <c r="C5" s="25"/>
      <c r="D5" s="25"/>
      <c r="E5" s="25"/>
      <c r="F5" s="25"/>
      <c r="G5" s="25"/>
      <c r="M5" s="76"/>
    </row>
    <row r="6" spans="3:9" ht="13.5" customHeight="1">
      <c r="C6" s="4"/>
      <c r="D6" s="3"/>
      <c r="E6" s="12"/>
      <c r="F6" s="12"/>
      <c r="G6" s="12"/>
      <c r="I6" s="12" t="s">
        <v>21</v>
      </c>
    </row>
    <row r="7" spans="1:10" ht="12" customHeight="1">
      <c r="A7" s="109" t="s">
        <v>3</v>
      </c>
      <c r="B7" s="13"/>
      <c r="C7" s="109" t="s">
        <v>0</v>
      </c>
      <c r="D7" s="100" t="s">
        <v>1</v>
      </c>
      <c r="E7" s="100" t="s">
        <v>16</v>
      </c>
      <c r="F7" s="100" t="s">
        <v>37</v>
      </c>
      <c r="G7" s="14" t="s">
        <v>38</v>
      </c>
      <c r="H7" s="98" t="s">
        <v>47</v>
      </c>
      <c r="I7" s="90" t="s">
        <v>2</v>
      </c>
      <c r="J7" s="92" t="s">
        <v>40</v>
      </c>
    </row>
    <row r="8" spans="1:25" ht="39.75" customHeight="1">
      <c r="A8" s="109"/>
      <c r="B8" s="1" t="s">
        <v>17</v>
      </c>
      <c r="C8" s="109"/>
      <c r="D8" s="100"/>
      <c r="E8" s="100"/>
      <c r="F8" s="100"/>
      <c r="G8" s="50" t="s">
        <v>39</v>
      </c>
      <c r="H8" s="99"/>
      <c r="I8" s="91"/>
      <c r="J8" s="93"/>
      <c r="L8" s="96" t="s">
        <v>46</v>
      </c>
      <c r="M8" s="90" t="s">
        <v>22</v>
      </c>
      <c r="N8" s="92" t="s">
        <v>23</v>
      </c>
      <c r="O8" s="90" t="s">
        <v>24</v>
      </c>
      <c r="P8" s="90" t="s">
        <v>25</v>
      </c>
      <c r="Q8" s="90" t="s">
        <v>26</v>
      </c>
      <c r="R8" s="90" t="s">
        <v>27</v>
      </c>
      <c r="S8" s="90" t="s">
        <v>28</v>
      </c>
      <c r="T8" s="90" t="s">
        <v>29</v>
      </c>
      <c r="U8" s="90" t="s">
        <v>30</v>
      </c>
      <c r="V8" s="90" t="s">
        <v>31</v>
      </c>
      <c r="W8" s="90" t="s">
        <v>32</v>
      </c>
      <c r="X8" s="90" t="s">
        <v>33</v>
      </c>
      <c r="Y8" s="90" t="s">
        <v>34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67">
        <v>9</v>
      </c>
      <c r="L9" s="97"/>
      <c r="M9" s="91"/>
      <c r="N9" s="93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</row>
    <row r="10" spans="1:25" s="15" customFormat="1" ht="19.5" customHeight="1">
      <c r="A10" s="94" t="s">
        <v>5</v>
      </c>
      <c r="B10" s="95"/>
      <c r="C10" s="95"/>
      <c r="D10" s="95"/>
      <c r="E10" s="95"/>
      <c r="F10" s="95"/>
      <c r="G10" s="95"/>
      <c r="H10" s="95"/>
      <c r="I10" s="95"/>
      <c r="J10" s="95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26" ht="18">
      <c r="A11" s="5">
        <v>1</v>
      </c>
      <c r="B11" s="6"/>
      <c r="C11" s="7" t="s">
        <v>4</v>
      </c>
      <c r="D11" s="8">
        <f>D12+D28</f>
        <v>150061799.97</v>
      </c>
      <c r="E11" s="8">
        <f>E12+E28</f>
        <v>148561799.97</v>
      </c>
      <c r="F11" s="8">
        <f>F12+F28</f>
        <v>1500000</v>
      </c>
      <c r="G11" s="8">
        <f>G12+G28</f>
        <v>1500000</v>
      </c>
      <c r="H11" s="8">
        <f>H12+H28</f>
        <v>20046372.310000002</v>
      </c>
      <c r="I11" s="38">
        <f aca="true" t="shared" si="0" ref="I11:I19">H11/D11*100</f>
        <v>13.35874440664288</v>
      </c>
      <c r="J11" s="38">
        <f>(H11/(M11+N11+O11+P11+Q11+R11+S11+V11+W11+O28+P28+Q28+R28+S28+T11+T28+U11+U28+V28+W28))*100</f>
        <v>13.841719877659697</v>
      </c>
      <c r="K11" s="82">
        <f>D11-H11</f>
        <v>130015427.66</v>
      </c>
      <c r="L11" s="47">
        <f>M11+N11+O11-H12</f>
        <v>8892049.289999995</v>
      </c>
      <c r="M11" s="44">
        <f aca="true" t="shared" si="1" ref="M11:X11">M12+M20</f>
        <v>3100000</v>
      </c>
      <c r="N11" s="44">
        <f t="shared" si="1"/>
        <v>17854577.81</v>
      </c>
      <c r="O11" s="44">
        <f t="shared" si="1"/>
        <v>7924843.79</v>
      </c>
      <c r="P11" s="44">
        <f t="shared" si="1"/>
        <v>17339179.83</v>
      </c>
      <c r="Q11" s="44">
        <f t="shared" si="1"/>
        <v>17494593.83</v>
      </c>
      <c r="R11" s="44">
        <f t="shared" si="1"/>
        <v>22117853.55</v>
      </c>
      <c r="S11" s="44">
        <f t="shared" si="1"/>
        <v>21140362.18</v>
      </c>
      <c r="T11" s="44">
        <f t="shared" si="1"/>
        <v>19620000</v>
      </c>
      <c r="U11" s="44">
        <f t="shared" si="1"/>
        <v>6944322.279999999</v>
      </c>
      <c r="V11" s="44">
        <f t="shared" si="1"/>
        <v>5820000</v>
      </c>
      <c r="W11" s="44">
        <f t="shared" si="1"/>
        <v>4720000</v>
      </c>
      <c r="X11" s="44">
        <f t="shared" si="1"/>
        <v>4486066.7</v>
      </c>
      <c r="Y11" s="45">
        <f>SUM(M11:X11)</f>
        <v>148561799.96999997</v>
      </c>
      <c r="Z11" s="46">
        <f>Y11-D12</f>
        <v>0</v>
      </c>
    </row>
    <row r="12" spans="1:26" ht="18">
      <c r="A12" s="9"/>
      <c r="B12" s="10"/>
      <c r="C12" s="36" t="s">
        <v>6</v>
      </c>
      <c r="D12" s="37">
        <f>SUM(D13:D19)+D20</f>
        <v>148561799.97</v>
      </c>
      <c r="E12" s="37">
        <f>SUM(E13:E19)+E20</f>
        <v>148561799.97</v>
      </c>
      <c r="F12" s="37"/>
      <c r="G12" s="37"/>
      <c r="H12" s="37">
        <f>H13+H16+H17+H18+H20</f>
        <v>19987372.310000002</v>
      </c>
      <c r="I12" s="52">
        <f t="shared" si="0"/>
        <v>13.453910974447117</v>
      </c>
      <c r="J12" s="72">
        <f>(H12/(M11+N11+O11+P11+Q11+R11+S11+T11+U11+V11+W11))*100</f>
        <v>13.87282358823285</v>
      </c>
      <c r="K12" s="82">
        <f>D12-H12</f>
        <v>128574427.66</v>
      </c>
      <c r="L12" s="43">
        <f>(M12+N12+O12)-(H13+H16+H17+H18)</f>
        <v>5284844.390000001</v>
      </c>
      <c r="M12" s="83">
        <f>1064334-964334</f>
        <v>100000</v>
      </c>
      <c r="N12" s="83">
        <f>1950000+964334</f>
        <v>2914334</v>
      </c>
      <c r="O12" s="83">
        <v>3584500</v>
      </c>
      <c r="P12" s="83">
        <v>13117886</v>
      </c>
      <c r="Q12" s="83">
        <v>13020000</v>
      </c>
      <c r="R12" s="83">
        <v>13020000</v>
      </c>
      <c r="S12" s="83">
        <v>12255666</v>
      </c>
      <c r="T12" s="83">
        <v>12020000</v>
      </c>
      <c r="U12" s="83">
        <v>420000</v>
      </c>
      <c r="V12" s="83">
        <v>420000</v>
      </c>
      <c r="W12" s="83">
        <v>420000</v>
      </c>
      <c r="X12" s="83">
        <v>420000</v>
      </c>
      <c r="Y12" s="43">
        <f>SUM(M12:X12)</f>
        <v>71712386</v>
      </c>
      <c r="Z12" s="46"/>
    </row>
    <row r="13" spans="1:26" ht="18.75" customHeight="1">
      <c r="A13" s="9"/>
      <c r="B13" s="10"/>
      <c r="C13" s="16" t="s">
        <v>7</v>
      </c>
      <c r="D13" s="84">
        <f>E13</f>
        <v>50097886</v>
      </c>
      <c r="E13" s="17">
        <f>27097886-5000000+28000000</f>
        <v>50097886</v>
      </c>
      <c r="F13" s="17"/>
      <c r="G13" s="17"/>
      <c r="H13" s="17"/>
      <c r="I13" s="17">
        <f t="shared" si="0"/>
        <v>0</v>
      </c>
      <c r="J13" s="101">
        <f>((H13+H16+H17+H18)/(M12+N12+O12+P12+Q12+R12+S12+T12+U12+V12+W12))*100</f>
        <v>1.8430995001345583</v>
      </c>
      <c r="K13" s="82">
        <f aca="true" t="shared" si="2" ref="K13:K26">D13-H13</f>
        <v>50097886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3">
        <f aca="true" t="shared" si="3" ref="Y13:Y40">SUM(M13:X13)</f>
        <v>0</v>
      </c>
      <c r="Z13" s="46"/>
    </row>
    <row r="14" spans="1:26" ht="18.75" customHeight="1" hidden="1">
      <c r="A14" s="9"/>
      <c r="B14" s="10"/>
      <c r="C14" s="16" t="s">
        <v>8</v>
      </c>
      <c r="D14" s="84">
        <f aca="true" t="shared" si="4" ref="D14:D27">E14</f>
        <v>0</v>
      </c>
      <c r="E14" s="17">
        <f>1500003-1500003</f>
        <v>0</v>
      </c>
      <c r="F14" s="17"/>
      <c r="G14" s="17"/>
      <c r="H14" s="13"/>
      <c r="I14" s="17" t="e">
        <f t="shared" si="0"/>
        <v>#DIV/0!</v>
      </c>
      <c r="J14" s="102"/>
      <c r="K14" s="82">
        <f t="shared" si="2"/>
        <v>0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3">
        <f t="shared" si="3"/>
        <v>0</v>
      </c>
      <c r="Z14" s="46"/>
    </row>
    <row r="15" spans="1:26" ht="18.75" customHeight="1" hidden="1">
      <c r="A15" s="9"/>
      <c r="B15" s="10"/>
      <c r="C15" s="16" t="s">
        <v>9</v>
      </c>
      <c r="D15" s="84">
        <f t="shared" si="4"/>
        <v>0</v>
      </c>
      <c r="E15" s="17">
        <f>2600002-2600002</f>
        <v>0</v>
      </c>
      <c r="F15" s="17"/>
      <c r="G15" s="17"/>
      <c r="H15" s="13"/>
      <c r="I15" s="17" t="e">
        <f t="shared" si="0"/>
        <v>#DIV/0!</v>
      </c>
      <c r="J15" s="102"/>
      <c r="K15" s="82">
        <f t="shared" si="2"/>
        <v>0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3">
        <f t="shared" si="3"/>
        <v>0</v>
      </c>
      <c r="Z15" s="46"/>
    </row>
    <row r="16" spans="1:26" s="19" customFormat="1" ht="18">
      <c r="A16" s="9"/>
      <c r="B16" s="18"/>
      <c r="C16" s="16" t="s">
        <v>10</v>
      </c>
      <c r="D16" s="84">
        <f t="shared" si="4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</f>
        <v>598253.6099999999</v>
      </c>
      <c r="I16" s="17">
        <f t="shared" si="0"/>
        <v>9.496089047619046</v>
      </c>
      <c r="J16" s="102"/>
      <c r="K16" s="82">
        <f t="shared" si="2"/>
        <v>5701746.390000001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3"/>
      <c r="Z16" s="46"/>
    </row>
    <row r="17" spans="1:26" ht="18">
      <c r="A17" s="9"/>
      <c r="B17" s="10"/>
      <c r="C17" s="16" t="s">
        <v>15</v>
      </c>
      <c r="D17" s="84">
        <f t="shared" si="4"/>
        <v>4900000</v>
      </c>
      <c r="E17" s="17">
        <f>6000002-1100002</f>
        <v>4900000</v>
      </c>
      <c r="F17" s="17"/>
      <c r="G17" s="17"/>
      <c r="H17" s="17">
        <f>376653+339083</f>
        <v>715736</v>
      </c>
      <c r="I17" s="17">
        <f t="shared" si="0"/>
        <v>14.606857142857145</v>
      </c>
      <c r="J17" s="102"/>
      <c r="K17" s="82">
        <f t="shared" si="2"/>
        <v>4184264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3"/>
      <c r="Z17" s="46"/>
    </row>
    <row r="18" spans="1:26" ht="36.75" customHeight="1">
      <c r="A18" s="9"/>
      <c r="B18" s="10"/>
      <c r="C18" s="16" t="s">
        <v>11</v>
      </c>
      <c r="D18" s="84">
        <f t="shared" si="4"/>
        <v>250000</v>
      </c>
      <c r="E18" s="17">
        <v>250000</v>
      </c>
      <c r="F18" s="17"/>
      <c r="G18" s="17"/>
      <c r="H18" s="17"/>
      <c r="I18" s="17">
        <f t="shared" si="0"/>
        <v>0</v>
      </c>
      <c r="J18" s="103"/>
      <c r="K18" s="82">
        <f t="shared" si="2"/>
        <v>250000</v>
      </c>
      <c r="L18" s="7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3"/>
      <c r="Z18" s="46"/>
    </row>
    <row r="19" spans="1:26" ht="18">
      <c r="A19" s="9"/>
      <c r="B19" s="10"/>
      <c r="C19" s="16" t="s">
        <v>42</v>
      </c>
      <c r="D19" s="84">
        <f t="shared" si="4"/>
        <v>10164500</v>
      </c>
      <c r="E19" s="17">
        <f>20164500+11000000-21000000</f>
        <v>10164500</v>
      </c>
      <c r="F19" s="17"/>
      <c r="G19" s="17"/>
      <c r="H19" s="13"/>
      <c r="I19" s="17">
        <f t="shared" si="0"/>
        <v>0</v>
      </c>
      <c r="J19" s="49" t="e">
        <f>(H19/(M19+N19))*100</f>
        <v>#DIV/0!</v>
      </c>
      <c r="K19" s="82">
        <f t="shared" si="2"/>
        <v>10164500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3">
        <f t="shared" si="3"/>
        <v>0</v>
      </c>
      <c r="Z19" s="46"/>
    </row>
    <row r="20" spans="1:26" s="34" customFormat="1" ht="36">
      <c r="A20" s="30"/>
      <c r="B20" s="31"/>
      <c r="C20" s="32" t="s">
        <v>18</v>
      </c>
      <c r="D20" s="85">
        <f t="shared" si="4"/>
        <v>76849413.97</v>
      </c>
      <c r="E20" s="33">
        <f>SUM(E21:E27)</f>
        <v>76849413.97</v>
      </c>
      <c r="F20" s="33"/>
      <c r="G20" s="33"/>
      <c r="H20" s="33">
        <f>SUM(H21:H27)</f>
        <v>18673382.700000003</v>
      </c>
      <c r="I20" s="33">
        <f>H20/D20*100</f>
        <v>24.298666359758585</v>
      </c>
      <c r="J20" s="101">
        <f>(H20/(M20+N20+O20+P20+Q20+R20+S20+T20+U20+V20+W20))*100</f>
        <v>25.656119703767505</v>
      </c>
      <c r="K20" s="82">
        <f t="shared" si="2"/>
        <v>58176031.269999996</v>
      </c>
      <c r="L20" s="43">
        <f>(M20+N20+O20)-(H20)</f>
        <v>3607204.899999995</v>
      </c>
      <c r="M20" s="83">
        <v>3000000</v>
      </c>
      <c r="N20" s="83">
        <f>5940243.81+9000000</f>
        <v>14940243.809999999</v>
      </c>
      <c r="O20" s="83">
        <f>5940343.79-1600000</f>
        <v>4340343.79</v>
      </c>
      <c r="P20" s="83">
        <f>5821293.83-1600000</f>
        <v>4221293.83</v>
      </c>
      <c r="Q20" s="83">
        <f>10274593.83-5800000</f>
        <v>4474593.83</v>
      </c>
      <c r="R20" s="83">
        <v>9097853.55</v>
      </c>
      <c r="S20" s="86">
        <f>7537996.18+1346700</f>
        <v>8884696.18</v>
      </c>
      <c r="T20" s="86">
        <f>3600000+4000000</f>
        <v>7600000</v>
      </c>
      <c r="U20" s="86">
        <f>2203922.28+2000000+2000000+200000+120000+400</f>
        <v>6524322.279999999</v>
      </c>
      <c r="V20" s="83">
        <f>1400000+4000000</f>
        <v>5400000</v>
      </c>
      <c r="W20" s="83">
        <f>1300000+2000000+1000000</f>
        <v>4300000</v>
      </c>
      <c r="X20" s="83">
        <f>1390000+1576066.7+1000000+100000</f>
        <v>4066066.7</v>
      </c>
      <c r="Y20" s="43">
        <f t="shared" si="3"/>
        <v>76849413.97000001</v>
      </c>
      <c r="Z20" s="46">
        <f>Y20-D20</f>
        <v>0</v>
      </c>
    </row>
    <row r="21" spans="1:26" s="29" customFormat="1" ht="18">
      <c r="A21" s="26"/>
      <c r="B21" s="27"/>
      <c r="C21" s="20" t="s">
        <v>7</v>
      </c>
      <c r="D21" s="87">
        <f t="shared" si="4"/>
        <v>28514898.64</v>
      </c>
      <c r="E21" s="21">
        <f>5000000+23514898.64</f>
        <v>28514898.64</v>
      </c>
      <c r="F21" s="52"/>
      <c r="G21" s="21"/>
      <c r="H21" s="21"/>
      <c r="I21" s="21">
        <f aca="true" t="shared" si="5" ref="I21:I27">H21/D21*100</f>
        <v>0</v>
      </c>
      <c r="J21" s="102"/>
      <c r="K21" s="82">
        <f t="shared" si="2"/>
        <v>28514898.64</v>
      </c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3">
        <f t="shared" si="3"/>
        <v>0</v>
      </c>
      <c r="Z21" s="46"/>
    </row>
    <row r="22" spans="1:26" s="29" customFormat="1" ht="18">
      <c r="A22" s="26"/>
      <c r="B22" s="27"/>
      <c r="C22" s="20" t="s">
        <v>8</v>
      </c>
      <c r="D22" s="87">
        <f t="shared" si="4"/>
        <v>1500003</v>
      </c>
      <c r="E22" s="21">
        <f>1500003</f>
        <v>1500003</v>
      </c>
      <c r="F22" s="52"/>
      <c r="G22" s="21"/>
      <c r="H22" s="21"/>
      <c r="I22" s="21">
        <f t="shared" si="5"/>
        <v>0</v>
      </c>
      <c r="J22" s="102"/>
      <c r="K22" s="82">
        <f>D22-H22</f>
        <v>1500003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3">
        <f t="shared" si="3"/>
        <v>0</v>
      </c>
      <c r="Z22" s="46"/>
    </row>
    <row r="23" spans="1:26" s="29" customFormat="1" ht="18">
      <c r="A23" s="26"/>
      <c r="B23" s="27"/>
      <c r="C23" s="20" t="s">
        <v>9</v>
      </c>
      <c r="D23" s="87">
        <f t="shared" si="4"/>
        <v>2600002</v>
      </c>
      <c r="E23" s="21">
        <f>2600002</f>
        <v>2600002</v>
      </c>
      <c r="F23" s="52"/>
      <c r="G23" s="21"/>
      <c r="H23" s="21"/>
      <c r="I23" s="21">
        <f t="shared" si="5"/>
        <v>0</v>
      </c>
      <c r="J23" s="102"/>
      <c r="K23" s="82">
        <f t="shared" si="2"/>
        <v>2600002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3">
        <f t="shared" si="3"/>
        <v>0</v>
      </c>
      <c r="Z23" s="46"/>
    </row>
    <row r="24" spans="1:26" s="78" customFormat="1" ht="18">
      <c r="A24" s="26"/>
      <c r="B24" s="58"/>
      <c r="C24" s="20" t="s">
        <v>43</v>
      </c>
      <c r="D24" s="87">
        <f t="shared" si="4"/>
        <v>1800000</v>
      </c>
      <c r="E24" s="21">
        <f>1800000</f>
        <v>1800000</v>
      </c>
      <c r="F24" s="52"/>
      <c r="G24" s="21"/>
      <c r="H24" s="21">
        <f>17849.82+141510.94+60763+146073</f>
        <v>366196.76</v>
      </c>
      <c r="I24" s="21">
        <f t="shared" si="5"/>
        <v>20.344264444444445</v>
      </c>
      <c r="J24" s="102"/>
      <c r="K24" s="82">
        <f t="shared" si="2"/>
        <v>1433803.24</v>
      </c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80">
        <f t="shared" si="3"/>
        <v>0</v>
      </c>
      <c r="Z24" s="81"/>
    </row>
    <row r="25" spans="1:26" s="29" customFormat="1" ht="18">
      <c r="A25" s="26"/>
      <c r="B25" s="27"/>
      <c r="C25" s="28" t="s">
        <v>19</v>
      </c>
      <c r="D25" s="87">
        <f t="shared" si="4"/>
        <v>4400007</v>
      </c>
      <c r="E25" s="21">
        <f>5400007-1000000</f>
        <v>4400007</v>
      </c>
      <c r="F25" s="52"/>
      <c r="G25" s="21"/>
      <c r="H25" s="21"/>
      <c r="I25" s="21">
        <f t="shared" si="5"/>
        <v>0</v>
      </c>
      <c r="J25" s="102"/>
      <c r="K25" s="82">
        <f t="shared" si="2"/>
        <v>4400007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3">
        <f t="shared" si="3"/>
        <v>0</v>
      </c>
      <c r="Z25" s="46"/>
    </row>
    <row r="26" spans="1:26" s="29" customFormat="1" ht="18">
      <c r="A26" s="26"/>
      <c r="B26" s="27"/>
      <c r="C26" s="20" t="s">
        <v>15</v>
      </c>
      <c r="D26" s="87">
        <f t="shared" si="4"/>
        <v>1500002</v>
      </c>
      <c r="E26" s="21">
        <f>1100002+400000</f>
        <v>1500002</v>
      </c>
      <c r="F26" s="52"/>
      <c r="G26" s="21"/>
      <c r="H26" s="21"/>
      <c r="I26" s="21">
        <f t="shared" si="5"/>
        <v>0</v>
      </c>
      <c r="J26" s="102"/>
      <c r="K26" s="82">
        <f t="shared" si="2"/>
        <v>1500002</v>
      </c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3">
        <f t="shared" si="3"/>
        <v>0</v>
      </c>
      <c r="Z26" s="46"/>
    </row>
    <row r="27" spans="1:26" s="29" customFormat="1" ht="54">
      <c r="A27" s="26"/>
      <c r="B27" s="27"/>
      <c r="C27" s="20" t="s">
        <v>20</v>
      </c>
      <c r="D27" s="87">
        <f t="shared" si="4"/>
        <v>36534501.33</v>
      </c>
      <c r="E27" s="21">
        <f>21000000+15534501.33</f>
        <v>36534501.33</v>
      </c>
      <c r="F27" s="52"/>
      <c r="G27" s="21"/>
      <c r="H27" s="21">
        <f>439827.18+2395357.39+26270+871602.96+519637+3866925.55+2570843.13+6291287.73+673745+651690</f>
        <v>18307185.94</v>
      </c>
      <c r="I27" s="21">
        <f t="shared" si="5"/>
        <v>50.109308389457084</v>
      </c>
      <c r="J27" s="103"/>
      <c r="K27" s="82">
        <f>D27-H27</f>
        <v>18227315.389999997</v>
      </c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3">
        <f t="shared" si="3"/>
        <v>0</v>
      </c>
      <c r="Z27" s="46"/>
    </row>
    <row r="28" spans="1:26" ht="18">
      <c r="A28" s="26"/>
      <c r="B28" s="27"/>
      <c r="C28" s="51" t="s">
        <v>35</v>
      </c>
      <c r="D28" s="52">
        <f aca="true" t="shared" si="6" ref="D28:D41">E28+F28</f>
        <v>1500000</v>
      </c>
      <c r="E28" s="21"/>
      <c r="F28" s="52">
        <f aca="true" t="shared" si="7" ref="F28:F41">G28</f>
        <v>1500000</v>
      </c>
      <c r="G28" s="52">
        <f>SUM(G29:G41)</f>
        <v>1500000</v>
      </c>
      <c r="H28" s="52">
        <f>SUM(H29:H41)</f>
        <v>59000</v>
      </c>
      <c r="I28" s="52">
        <f>H28/D28*100</f>
        <v>3.933333333333333</v>
      </c>
      <c r="J28" s="72">
        <f>(H28/(M28+N28+O28+P28+Q28+R28+S28+T28+U28+V28+W28))*100</f>
        <v>3.933333333333333</v>
      </c>
      <c r="K28" s="82">
        <f aca="true" t="shared" si="8" ref="K28:K59">D28-H28</f>
        <v>1441000</v>
      </c>
      <c r="L28" s="48">
        <f>(M28+N28+O28)-H28</f>
        <v>1441000</v>
      </c>
      <c r="M28" s="60">
        <f aca="true" t="shared" si="9" ref="M28:X28">SUM(M29:M41)</f>
        <v>0</v>
      </c>
      <c r="N28" s="66">
        <f t="shared" si="9"/>
        <v>750000</v>
      </c>
      <c r="O28" s="66">
        <f t="shared" si="9"/>
        <v>750000</v>
      </c>
      <c r="P28" s="66">
        <f t="shared" si="9"/>
        <v>0</v>
      </c>
      <c r="Q28" s="66">
        <f t="shared" si="9"/>
        <v>0</v>
      </c>
      <c r="R28" s="66">
        <f t="shared" si="9"/>
        <v>0</v>
      </c>
      <c r="S28" s="66">
        <f t="shared" si="9"/>
        <v>0</v>
      </c>
      <c r="T28" s="66">
        <f t="shared" si="9"/>
        <v>0</v>
      </c>
      <c r="U28" s="66">
        <f t="shared" si="9"/>
        <v>0</v>
      </c>
      <c r="V28" s="66">
        <f t="shared" si="9"/>
        <v>0</v>
      </c>
      <c r="W28" s="66">
        <f t="shared" si="9"/>
        <v>0</v>
      </c>
      <c r="X28" s="66">
        <f t="shared" si="9"/>
        <v>0</v>
      </c>
      <c r="Y28" s="43">
        <f t="shared" si="3"/>
        <v>1500000</v>
      </c>
      <c r="Z28" s="46">
        <f aca="true" t="shared" si="10" ref="Z28:Z57">Y28-D28</f>
        <v>0</v>
      </c>
    </row>
    <row r="29" spans="1:26" ht="36">
      <c r="A29" s="26"/>
      <c r="B29" s="27"/>
      <c r="C29" s="88" t="s">
        <v>44</v>
      </c>
      <c r="D29" s="17">
        <f t="shared" si="6"/>
        <v>1500000</v>
      </c>
      <c r="E29" s="21"/>
      <c r="F29" s="54">
        <f t="shared" si="7"/>
        <v>1500000</v>
      </c>
      <c r="G29" s="54">
        <v>1500000</v>
      </c>
      <c r="H29" s="54">
        <f>59000</f>
        <v>59000</v>
      </c>
      <c r="I29" s="17">
        <f aca="true" t="shared" si="11" ref="I29:I57">H29/D29*100</f>
        <v>3.933333333333333</v>
      </c>
      <c r="J29" s="49">
        <f>(H29/(M29+N29+O29+P29+Q29+R29+S29+T29+U29+V29+W29))*100</f>
        <v>3.933333333333333</v>
      </c>
      <c r="K29" s="82">
        <f t="shared" si="8"/>
        <v>1441000</v>
      </c>
      <c r="L29" s="43">
        <f>(M29+N29+O29)-H29</f>
        <v>1441000</v>
      </c>
      <c r="M29" s="13"/>
      <c r="N29" s="61">
        <f>750000</f>
        <v>750000</v>
      </c>
      <c r="O29" s="61">
        <f>750000</f>
        <v>750000</v>
      </c>
      <c r="P29" s="64"/>
      <c r="Q29" s="64"/>
      <c r="R29" s="64"/>
      <c r="S29" s="64"/>
      <c r="T29" s="64"/>
      <c r="U29" s="65"/>
      <c r="V29" s="65"/>
      <c r="W29" s="65"/>
      <c r="X29" s="68"/>
      <c r="Y29" s="43">
        <f t="shared" si="3"/>
        <v>1500000</v>
      </c>
      <c r="Z29" s="46">
        <f t="shared" si="10"/>
        <v>0</v>
      </c>
    </row>
    <row r="30" spans="1:26" ht="21" customHeight="1" hidden="1">
      <c r="A30" s="26"/>
      <c r="B30" s="27"/>
      <c r="C30" s="53"/>
      <c r="D30" s="17">
        <f t="shared" si="6"/>
        <v>0</v>
      </c>
      <c r="E30" s="21"/>
      <c r="F30" s="54">
        <f t="shared" si="7"/>
        <v>0</v>
      </c>
      <c r="G30" s="54"/>
      <c r="H30" s="54"/>
      <c r="I30" s="17" t="e">
        <f t="shared" si="11"/>
        <v>#DIV/0!</v>
      </c>
      <c r="J30" s="49" t="e">
        <f aca="true" t="shared" si="12" ref="J30:J41">(H30/(M30+N30+O30+P30+Q30+R30+S30+T30+U30+V30+W30))*100</f>
        <v>#DIV/0!</v>
      </c>
      <c r="K30" s="82">
        <f t="shared" si="8"/>
        <v>0</v>
      </c>
      <c r="L30" s="43">
        <f aca="true" t="shared" si="13" ref="L30:L41">(M30+N30+O30+P30+Q30+R30+S30+T30+U30+V30+W30)-H30</f>
        <v>0</v>
      </c>
      <c r="M30" s="13"/>
      <c r="N30" s="13"/>
      <c r="O30" s="64"/>
      <c r="P30" s="64"/>
      <c r="Q30" s="64"/>
      <c r="R30" s="64"/>
      <c r="S30" s="64"/>
      <c r="T30" s="64"/>
      <c r="U30" s="65"/>
      <c r="V30" s="65"/>
      <c r="W30" s="65"/>
      <c r="X30" s="68"/>
      <c r="Y30" s="43">
        <f t="shared" si="3"/>
        <v>0</v>
      </c>
      <c r="Z30" s="46">
        <f t="shared" si="10"/>
        <v>0</v>
      </c>
    </row>
    <row r="31" spans="1:26" ht="18" hidden="1">
      <c r="A31" s="26"/>
      <c r="B31" s="27"/>
      <c r="C31" s="53"/>
      <c r="D31" s="17">
        <f t="shared" si="6"/>
        <v>0</v>
      </c>
      <c r="E31" s="21"/>
      <c r="F31" s="54">
        <f t="shared" si="7"/>
        <v>0</v>
      </c>
      <c r="G31" s="55"/>
      <c r="H31" s="54"/>
      <c r="I31" s="54" t="e">
        <f t="shared" si="11"/>
        <v>#DIV/0!</v>
      </c>
      <c r="J31" s="49" t="e">
        <f t="shared" si="12"/>
        <v>#DIV/0!</v>
      </c>
      <c r="K31" s="82">
        <f t="shared" si="8"/>
        <v>0</v>
      </c>
      <c r="L31" s="43">
        <f t="shared" si="13"/>
        <v>0</v>
      </c>
      <c r="M31" s="13"/>
      <c r="N31" s="13"/>
      <c r="O31" s="64"/>
      <c r="P31" s="64"/>
      <c r="Q31" s="64"/>
      <c r="R31" s="64"/>
      <c r="S31" s="64"/>
      <c r="T31" s="64"/>
      <c r="U31" s="65"/>
      <c r="V31" s="65"/>
      <c r="W31" s="65"/>
      <c r="X31" s="65"/>
      <c r="Y31" s="43">
        <f t="shared" si="3"/>
        <v>0</v>
      </c>
      <c r="Z31" s="46">
        <f t="shared" si="10"/>
        <v>0</v>
      </c>
    </row>
    <row r="32" spans="1:26" ht="18" hidden="1">
      <c r="A32" s="26"/>
      <c r="B32" s="27"/>
      <c r="C32" s="53"/>
      <c r="D32" s="17">
        <f t="shared" si="6"/>
        <v>0</v>
      </c>
      <c r="E32" s="21"/>
      <c r="F32" s="54">
        <f t="shared" si="7"/>
        <v>0</v>
      </c>
      <c r="G32" s="54"/>
      <c r="H32" s="54"/>
      <c r="I32" s="54" t="e">
        <f t="shared" si="11"/>
        <v>#DIV/0!</v>
      </c>
      <c r="J32" s="49" t="e">
        <f t="shared" si="12"/>
        <v>#DIV/0!</v>
      </c>
      <c r="K32" s="82">
        <f t="shared" si="8"/>
        <v>0</v>
      </c>
      <c r="L32" s="43">
        <f t="shared" si="13"/>
        <v>0</v>
      </c>
      <c r="M32" s="13"/>
      <c r="N32" s="13"/>
      <c r="O32" s="64"/>
      <c r="P32" s="64"/>
      <c r="Q32" s="64"/>
      <c r="R32" s="64"/>
      <c r="S32" s="64"/>
      <c r="T32" s="64"/>
      <c r="U32" s="65"/>
      <c r="V32" s="65"/>
      <c r="W32" s="65"/>
      <c r="X32" s="65"/>
      <c r="Y32" s="43">
        <f t="shared" si="3"/>
        <v>0</v>
      </c>
      <c r="Z32" s="46">
        <f t="shared" si="10"/>
        <v>0</v>
      </c>
    </row>
    <row r="33" spans="1:26" ht="18" hidden="1">
      <c r="A33" s="26"/>
      <c r="B33" s="27"/>
      <c r="C33" s="53"/>
      <c r="D33" s="17">
        <f t="shared" si="6"/>
        <v>0</v>
      </c>
      <c r="E33" s="21"/>
      <c r="F33" s="54">
        <f t="shared" si="7"/>
        <v>0</v>
      </c>
      <c r="G33" s="55"/>
      <c r="H33" s="54"/>
      <c r="I33" s="17" t="e">
        <f t="shared" si="11"/>
        <v>#DIV/0!</v>
      </c>
      <c r="J33" s="49" t="e">
        <f t="shared" si="12"/>
        <v>#DIV/0!</v>
      </c>
      <c r="K33" s="82">
        <f t="shared" si="8"/>
        <v>0</v>
      </c>
      <c r="L33" s="43">
        <f t="shared" si="13"/>
        <v>0</v>
      </c>
      <c r="M33" s="13"/>
      <c r="N33" s="13"/>
      <c r="O33" s="64"/>
      <c r="P33" s="64"/>
      <c r="Q33" s="64"/>
      <c r="R33" s="64"/>
      <c r="S33" s="64"/>
      <c r="T33" s="64"/>
      <c r="U33" s="65"/>
      <c r="V33" s="65"/>
      <c r="W33" s="65"/>
      <c r="X33" s="65"/>
      <c r="Y33" s="43">
        <f t="shared" si="3"/>
        <v>0</v>
      </c>
      <c r="Z33" s="46">
        <f t="shared" si="10"/>
        <v>0</v>
      </c>
    </row>
    <row r="34" spans="1:26" ht="18" hidden="1">
      <c r="A34" s="26"/>
      <c r="B34" s="27"/>
      <c r="C34" s="53"/>
      <c r="D34" s="17">
        <f t="shared" si="6"/>
        <v>0</v>
      </c>
      <c r="E34" s="21"/>
      <c r="F34" s="54">
        <f t="shared" si="7"/>
        <v>0</v>
      </c>
      <c r="G34" s="54"/>
      <c r="H34" s="54"/>
      <c r="I34" s="17" t="e">
        <f t="shared" si="11"/>
        <v>#DIV/0!</v>
      </c>
      <c r="J34" s="49" t="e">
        <f t="shared" si="12"/>
        <v>#DIV/0!</v>
      </c>
      <c r="K34" s="82">
        <f t="shared" si="8"/>
        <v>0</v>
      </c>
      <c r="L34" s="43">
        <f t="shared" si="13"/>
        <v>0</v>
      </c>
      <c r="M34" s="13"/>
      <c r="N34" s="13"/>
      <c r="O34" s="64"/>
      <c r="P34" s="64"/>
      <c r="Q34" s="64"/>
      <c r="R34" s="64"/>
      <c r="S34" s="64"/>
      <c r="T34" s="64"/>
      <c r="U34" s="65"/>
      <c r="V34" s="65"/>
      <c r="W34" s="65"/>
      <c r="X34" s="65"/>
      <c r="Y34" s="43">
        <f t="shared" si="3"/>
        <v>0</v>
      </c>
      <c r="Z34" s="46">
        <f t="shared" si="10"/>
        <v>0</v>
      </c>
    </row>
    <row r="35" spans="1:26" ht="18" hidden="1">
      <c r="A35" s="26"/>
      <c r="B35" s="27"/>
      <c r="C35" s="53"/>
      <c r="D35" s="17">
        <f t="shared" si="6"/>
        <v>0</v>
      </c>
      <c r="E35" s="21"/>
      <c r="F35" s="54">
        <f t="shared" si="7"/>
        <v>0</v>
      </c>
      <c r="G35" s="54"/>
      <c r="H35" s="54"/>
      <c r="I35" s="17"/>
      <c r="J35" s="74" t="e">
        <f t="shared" si="12"/>
        <v>#DIV/0!</v>
      </c>
      <c r="K35" s="82">
        <f t="shared" si="8"/>
        <v>0</v>
      </c>
      <c r="L35" s="43">
        <f t="shared" si="13"/>
        <v>0</v>
      </c>
      <c r="M35" s="13"/>
      <c r="N35" s="13"/>
      <c r="O35" s="64"/>
      <c r="P35" s="64"/>
      <c r="Q35" s="64"/>
      <c r="R35" s="64"/>
      <c r="S35" s="64"/>
      <c r="T35" s="64"/>
      <c r="U35" s="65"/>
      <c r="V35" s="65"/>
      <c r="W35" s="65"/>
      <c r="X35" s="68"/>
      <c r="Y35" s="43">
        <f t="shared" si="3"/>
        <v>0</v>
      </c>
      <c r="Z35" s="46">
        <f t="shared" si="10"/>
        <v>0</v>
      </c>
    </row>
    <row r="36" spans="1:26" ht="18" hidden="1">
      <c r="A36" s="26"/>
      <c r="B36" s="27"/>
      <c r="C36" s="53"/>
      <c r="D36" s="17">
        <f t="shared" si="6"/>
        <v>0</v>
      </c>
      <c r="E36" s="21"/>
      <c r="F36" s="54">
        <f t="shared" si="7"/>
        <v>0</v>
      </c>
      <c r="G36" s="54"/>
      <c r="H36" s="54"/>
      <c r="I36" s="17" t="e">
        <f t="shared" si="11"/>
        <v>#DIV/0!</v>
      </c>
      <c r="J36" s="49" t="e">
        <f t="shared" si="12"/>
        <v>#DIV/0!</v>
      </c>
      <c r="K36" s="82">
        <f t="shared" si="8"/>
        <v>0</v>
      </c>
      <c r="L36" s="43">
        <f t="shared" si="13"/>
        <v>0</v>
      </c>
      <c r="M36" s="13"/>
      <c r="N36" s="13"/>
      <c r="O36" s="64"/>
      <c r="P36" s="64"/>
      <c r="Q36" s="64"/>
      <c r="R36" s="64"/>
      <c r="S36" s="64"/>
      <c r="T36" s="64"/>
      <c r="U36" s="65"/>
      <c r="V36" s="65"/>
      <c r="W36" s="65"/>
      <c r="X36" s="65"/>
      <c r="Y36" s="43">
        <f t="shared" si="3"/>
        <v>0</v>
      </c>
      <c r="Z36" s="46">
        <f t="shared" si="10"/>
        <v>0</v>
      </c>
    </row>
    <row r="37" spans="1:26" ht="18" hidden="1">
      <c r="A37" s="26"/>
      <c r="B37" s="27"/>
      <c r="C37" s="53"/>
      <c r="D37" s="17">
        <f t="shared" si="6"/>
        <v>0</v>
      </c>
      <c r="E37" s="21"/>
      <c r="F37" s="54">
        <f t="shared" si="7"/>
        <v>0</v>
      </c>
      <c r="G37" s="54"/>
      <c r="H37" s="54"/>
      <c r="I37" s="17" t="e">
        <f t="shared" si="11"/>
        <v>#DIV/0!</v>
      </c>
      <c r="J37" s="49" t="e">
        <f t="shared" si="12"/>
        <v>#DIV/0!</v>
      </c>
      <c r="K37" s="82">
        <f t="shared" si="8"/>
        <v>0</v>
      </c>
      <c r="L37" s="43">
        <f t="shared" si="13"/>
        <v>0</v>
      </c>
      <c r="M37" s="13"/>
      <c r="N37" s="13"/>
      <c r="O37" s="64"/>
      <c r="P37" s="64"/>
      <c r="Q37" s="64"/>
      <c r="R37" s="64"/>
      <c r="S37" s="64"/>
      <c r="T37" s="64"/>
      <c r="U37" s="65"/>
      <c r="V37" s="61"/>
      <c r="W37" s="61"/>
      <c r="X37" s="61"/>
      <c r="Y37" s="43">
        <f t="shared" si="3"/>
        <v>0</v>
      </c>
      <c r="Z37" s="46">
        <f t="shared" si="10"/>
        <v>0</v>
      </c>
    </row>
    <row r="38" spans="1:26" ht="18" hidden="1">
      <c r="A38" s="26"/>
      <c r="B38" s="27"/>
      <c r="C38" s="53"/>
      <c r="D38" s="17">
        <f t="shared" si="6"/>
        <v>0</v>
      </c>
      <c r="E38" s="21"/>
      <c r="F38" s="54">
        <f t="shared" si="7"/>
        <v>0</v>
      </c>
      <c r="G38" s="54"/>
      <c r="H38" s="54"/>
      <c r="I38" s="39"/>
      <c r="J38" s="74" t="e">
        <f t="shared" si="12"/>
        <v>#DIV/0!</v>
      </c>
      <c r="K38" s="82">
        <f t="shared" si="8"/>
        <v>0</v>
      </c>
      <c r="L38" s="43">
        <f t="shared" si="13"/>
        <v>0</v>
      </c>
      <c r="M38" s="13"/>
      <c r="N38" s="13"/>
      <c r="O38" s="64"/>
      <c r="P38" s="64"/>
      <c r="Q38" s="64"/>
      <c r="R38" s="64"/>
      <c r="S38" s="64"/>
      <c r="T38" s="64"/>
      <c r="U38" s="65"/>
      <c r="V38" s="65"/>
      <c r="W38" s="65"/>
      <c r="X38" s="68"/>
      <c r="Y38" s="43">
        <f t="shared" si="3"/>
        <v>0</v>
      </c>
      <c r="Z38" s="46">
        <f t="shared" si="10"/>
        <v>0</v>
      </c>
    </row>
    <row r="39" spans="1:26" ht="18" hidden="1">
      <c r="A39" s="26"/>
      <c r="B39" s="27"/>
      <c r="C39" s="53"/>
      <c r="D39" s="17">
        <f>E39+F39</f>
        <v>0</v>
      </c>
      <c r="E39" s="21"/>
      <c r="F39" s="54">
        <f t="shared" si="7"/>
        <v>0</v>
      </c>
      <c r="G39" s="54"/>
      <c r="H39" s="54"/>
      <c r="I39" s="39" t="e">
        <f t="shared" si="11"/>
        <v>#DIV/0!</v>
      </c>
      <c r="J39" s="49" t="e">
        <f t="shared" si="12"/>
        <v>#DIV/0!</v>
      </c>
      <c r="K39" s="82">
        <f t="shared" si="8"/>
        <v>0</v>
      </c>
      <c r="L39" s="43">
        <f t="shared" si="13"/>
        <v>0</v>
      </c>
      <c r="M39" s="13"/>
      <c r="N39" s="13"/>
      <c r="O39" s="64"/>
      <c r="P39" s="64"/>
      <c r="Q39" s="64"/>
      <c r="R39" s="64"/>
      <c r="S39" s="64"/>
      <c r="T39" s="64"/>
      <c r="U39" s="65"/>
      <c r="V39" s="65"/>
      <c r="W39" s="65"/>
      <c r="X39" s="65"/>
      <c r="Y39" s="43">
        <f t="shared" si="3"/>
        <v>0</v>
      </c>
      <c r="Z39" s="46">
        <f t="shared" si="10"/>
        <v>0</v>
      </c>
    </row>
    <row r="40" spans="1:26" ht="18" hidden="1">
      <c r="A40" s="26"/>
      <c r="B40" s="27"/>
      <c r="C40" s="53"/>
      <c r="D40" s="17">
        <f t="shared" si="6"/>
        <v>0</v>
      </c>
      <c r="E40" s="21"/>
      <c r="F40" s="54">
        <f t="shared" si="7"/>
        <v>0</v>
      </c>
      <c r="G40" s="54"/>
      <c r="H40" s="54"/>
      <c r="I40" s="39" t="e">
        <f t="shared" si="11"/>
        <v>#DIV/0!</v>
      </c>
      <c r="J40" s="49" t="e">
        <f t="shared" si="12"/>
        <v>#DIV/0!</v>
      </c>
      <c r="K40" s="82">
        <f t="shared" si="8"/>
        <v>0</v>
      </c>
      <c r="L40" s="43">
        <f t="shared" si="13"/>
        <v>0</v>
      </c>
      <c r="M40" s="13"/>
      <c r="N40" s="13"/>
      <c r="O40" s="64"/>
      <c r="P40" s="64"/>
      <c r="Q40" s="64"/>
      <c r="R40" s="64"/>
      <c r="S40" s="64"/>
      <c r="T40" s="64"/>
      <c r="U40" s="65"/>
      <c r="V40" s="65"/>
      <c r="W40" s="65"/>
      <c r="X40" s="65"/>
      <c r="Y40" s="43">
        <f t="shared" si="3"/>
        <v>0</v>
      </c>
      <c r="Z40" s="46">
        <f t="shared" si="10"/>
        <v>0</v>
      </c>
    </row>
    <row r="41" spans="1:26" ht="18" hidden="1">
      <c r="A41" s="26"/>
      <c r="B41" s="27"/>
      <c r="C41" s="53"/>
      <c r="D41" s="17">
        <f t="shared" si="6"/>
        <v>0</v>
      </c>
      <c r="E41" s="21"/>
      <c r="F41" s="54">
        <f t="shared" si="7"/>
        <v>0</v>
      </c>
      <c r="G41" s="54"/>
      <c r="H41" s="54"/>
      <c r="I41" s="70" t="e">
        <f t="shared" si="11"/>
        <v>#DIV/0!</v>
      </c>
      <c r="J41" s="49" t="e">
        <f t="shared" si="12"/>
        <v>#DIV/0!</v>
      </c>
      <c r="K41" s="82">
        <f t="shared" si="8"/>
        <v>0</v>
      </c>
      <c r="L41" s="43">
        <f t="shared" si="13"/>
        <v>0</v>
      </c>
      <c r="M41" s="13"/>
      <c r="N41" s="13"/>
      <c r="O41" s="64"/>
      <c r="P41" s="64"/>
      <c r="Q41" s="64"/>
      <c r="R41" s="64"/>
      <c r="S41" s="64"/>
      <c r="T41" s="64"/>
      <c r="U41" s="65"/>
      <c r="V41" s="65"/>
      <c r="W41" s="65"/>
      <c r="X41" s="69"/>
      <c r="Y41" s="43">
        <f>SUM(M41:X41)</f>
        <v>0</v>
      </c>
      <c r="Z41" s="46">
        <f t="shared" si="10"/>
        <v>0</v>
      </c>
    </row>
    <row r="42" spans="1:26" ht="18">
      <c r="A42" s="104" t="s">
        <v>36</v>
      </c>
      <c r="B42" s="105"/>
      <c r="C42" s="105"/>
      <c r="D42" s="105"/>
      <c r="E42" s="105"/>
      <c r="F42" s="105"/>
      <c r="G42" s="106"/>
      <c r="H42" s="13"/>
      <c r="I42" s="52"/>
      <c r="J42" s="49"/>
      <c r="K42" s="82">
        <f t="shared" si="8"/>
        <v>0</v>
      </c>
      <c r="L42" s="4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43">
        <f>SUM(M42:X42)</f>
        <v>0</v>
      </c>
      <c r="Z42" s="46">
        <f t="shared" si="10"/>
        <v>0</v>
      </c>
    </row>
    <row r="43" spans="1:26" ht="18">
      <c r="A43" s="5">
        <v>2</v>
      </c>
      <c r="B43" s="6"/>
      <c r="C43" s="7" t="s">
        <v>4</v>
      </c>
      <c r="D43" s="8">
        <f>E43+F43</f>
        <v>299500</v>
      </c>
      <c r="E43" s="56"/>
      <c r="F43" s="8">
        <f>SUM(F44:F58)</f>
        <v>299500</v>
      </c>
      <c r="G43" s="8">
        <f>SUM(G44:G58)</f>
        <v>299500</v>
      </c>
      <c r="H43" s="8">
        <f>SUM(H44:H58)</f>
        <v>0</v>
      </c>
      <c r="I43" s="8">
        <f t="shared" si="11"/>
        <v>0</v>
      </c>
      <c r="J43" s="8">
        <f>(H43/(M43+N43+O43+P43+Q43+R43+S43+T43+U43+V43+W43))*100</f>
        <v>0</v>
      </c>
      <c r="K43" s="82">
        <f t="shared" si="8"/>
        <v>299500</v>
      </c>
      <c r="L43" s="48">
        <f>(M43+N43+O43)-H43</f>
        <v>299500</v>
      </c>
      <c r="M43" s="63">
        <f aca="true" t="shared" si="14" ref="M43:X43">SUM(M44:M58)</f>
        <v>0</v>
      </c>
      <c r="N43" s="48">
        <f t="shared" si="14"/>
        <v>150000</v>
      </c>
      <c r="O43" s="48">
        <f t="shared" si="14"/>
        <v>149500</v>
      </c>
      <c r="P43" s="48">
        <f t="shared" si="14"/>
        <v>0</v>
      </c>
      <c r="Q43" s="48">
        <f t="shared" si="14"/>
        <v>0</v>
      </c>
      <c r="R43" s="48">
        <f t="shared" si="14"/>
        <v>0</v>
      </c>
      <c r="S43" s="48">
        <f t="shared" si="14"/>
        <v>0</v>
      </c>
      <c r="T43" s="48">
        <f t="shared" si="14"/>
        <v>0</v>
      </c>
      <c r="U43" s="48">
        <f t="shared" si="14"/>
        <v>0</v>
      </c>
      <c r="V43" s="48">
        <f t="shared" si="14"/>
        <v>0</v>
      </c>
      <c r="W43" s="48">
        <f t="shared" si="14"/>
        <v>0</v>
      </c>
      <c r="X43" s="48">
        <f t="shared" si="14"/>
        <v>0</v>
      </c>
      <c r="Y43" s="48">
        <f>SUM(M43:X43)</f>
        <v>299500</v>
      </c>
      <c r="Z43" s="46">
        <f t="shared" si="10"/>
        <v>0</v>
      </c>
    </row>
    <row r="44" spans="1:26" ht="36">
      <c r="A44" s="57"/>
      <c r="B44" s="18"/>
      <c r="C44" s="89" t="s">
        <v>45</v>
      </c>
      <c r="D44" s="17">
        <f aca="true" t="shared" si="15" ref="D44:D58">E44+F44</f>
        <v>299500</v>
      </c>
      <c r="E44" s="21"/>
      <c r="F44" s="54">
        <f aca="true" t="shared" si="16" ref="F44:F58">G44</f>
        <v>299500</v>
      </c>
      <c r="G44" s="54">
        <v>299500</v>
      </c>
      <c r="H44" s="55"/>
      <c r="I44" s="17">
        <f t="shared" si="11"/>
        <v>0</v>
      </c>
      <c r="J44" s="49">
        <f>(H44/(M44+N44+O44+P44+Q44+R44+S44+T44+U44+V44+W44))*100</f>
        <v>0</v>
      </c>
      <c r="K44" s="82">
        <f t="shared" si="8"/>
        <v>299500</v>
      </c>
      <c r="L44" s="43">
        <f>(M44+N44+O44)-H44</f>
        <v>299500</v>
      </c>
      <c r="M44" s="61"/>
      <c r="N44" s="61">
        <f>150000</f>
        <v>150000</v>
      </c>
      <c r="O44" s="61">
        <f>149500</f>
        <v>149500</v>
      </c>
      <c r="P44" s="61"/>
      <c r="Q44" s="61"/>
      <c r="R44" s="61"/>
      <c r="S44" s="61"/>
      <c r="T44" s="61"/>
      <c r="U44" s="61"/>
      <c r="V44" s="61"/>
      <c r="W44" s="61"/>
      <c r="X44" s="61"/>
      <c r="Y44" s="43">
        <f aca="true" t="shared" si="17" ref="Y44:Y59">SUM(M44:X44)</f>
        <v>299500</v>
      </c>
      <c r="Z44" s="46">
        <f t="shared" si="10"/>
        <v>0</v>
      </c>
    </row>
    <row r="45" spans="1:26" ht="24" customHeight="1" hidden="1">
      <c r="A45" s="57"/>
      <c r="B45" s="18"/>
      <c r="C45" s="75"/>
      <c r="D45" s="17">
        <f t="shared" si="15"/>
        <v>0</v>
      </c>
      <c r="E45" s="21"/>
      <c r="F45" s="54">
        <f t="shared" si="16"/>
        <v>0</v>
      </c>
      <c r="G45" s="54"/>
      <c r="H45" s="55"/>
      <c r="I45" s="17" t="e">
        <f t="shared" si="11"/>
        <v>#DIV/0!</v>
      </c>
      <c r="J45" s="49" t="e">
        <f aca="true" t="shared" si="18" ref="J45:J58">(H45/(M45+N45+O45+P45+Q45+R45+S45+T45+U45+V45+W45))*100</f>
        <v>#DIV/0!</v>
      </c>
      <c r="K45" s="82">
        <f t="shared" si="8"/>
        <v>0</v>
      </c>
      <c r="L45" s="43">
        <f aca="true" t="shared" si="19" ref="L45:L58">(M45+N45+O45+P45+Q45+R45+S45+T45+U45+V45+W45)-H45</f>
        <v>0</v>
      </c>
      <c r="M45" s="61"/>
      <c r="N45" s="61"/>
      <c r="O45" s="61"/>
      <c r="P45" s="61"/>
      <c r="Q45" s="61"/>
      <c r="R45" s="61"/>
      <c r="S45" s="61"/>
      <c r="T45" s="61"/>
      <c r="U45" s="69"/>
      <c r="V45" s="69"/>
      <c r="W45" s="69"/>
      <c r="X45" s="69"/>
      <c r="Y45" s="43">
        <f t="shared" si="17"/>
        <v>0</v>
      </c>
      <c r="Z45" s="46">
        <f t="shared" si="10"/>
        <v>0</v>
      </c>
    </row>
    <row r="46" spans="1:26" ht="24" customHeight="1" hidden="1">
      <c r="A46" s="57"/>
      <c r="B46" s="18"/>
      <c r="C46" s="53"/>
      <c r="D46" s="17">
        <f t="shared" si="15"/>
        <v>0</v>
      </c>
      <c r="E46" s="21"/>
      <c r="F46" s="54">
        <f t="shared" si="16"/>
        <v>0</v>
      </c>
      <c r="G46" s="54"/>
      <c r="H46" s="55"/>
      <c r="I46" s="17"/>
      <c r="J46" s="74" t="e">
        <f t="shared" si="18"/>
        <v>#DIV/0!</v>
      </c>
      <c r="K46" s="82">
        <f t="shared" si="8"/>
        <v>0</v>
      </c>
      <c r="L46" s="43">
        <f t="shared" si="19"/>
        <v>0</v>
      </c>
      <c r="M46" s="61"/>
      <c r="N46" s="61"/>
      <c r="O46" s="61"/>
      <c r="P46" s="61"/>
      <c r="Q46" s="61"/>
      <c r="R46" s="61"/>
      <c r="S46" s="61"/>
      <c r="T46" s="61"/>
      <c r="U46" s="69"/>
      <c r="V46" s="69"/>
      <c r="W46" s="69"/>
      <c r="X46" s="69"/>
      <c r="Y46" s="43">
        <f t="shared" si="17"/>
        <v>0</v>
      </c>
      <c r="Z46" s="46">
        <f t="shared" si="10"/>
        <v>0</v>
      </c>
    </row>
    <row r="47" spans="1:26" ht="24" customHeight="1" hidden="1">
      <c r="A47" s="57"/>
      <c r="B47" s="18"/>
      <c r="C47" s="53"/>
      <c r="D47" s="17">
        <f t="shared" si="15"/>
        <v>0</v>
      </c>
      <c r="E47" s="21"/>
      <c r="F47" s="54">
        <f t="shared" si="16"/>
        <v>0</v>
      </c>
      <c r="G47" s="54"/>
      <c r="H47" s="55"/>
      <c r="I47" s="17" t="e">
        <f t="shared" si="11"/>
        <v>#DIV/0!</v>
      </c>
      <c r="J47" s="49" t="e">
        <f t="shared" si="18"/>
        <v>#DIV/0!</v>
      </c>
      <c r="K47" s="82">
        <f t="shared" si="8"/>
        <v>0</v>
      </c>
      <c r="L47" s="43">
        <f t="shared" si="19"/>
        <v>0</v>
      </c>
      <c r="M47" s="61"/>
      <c r="N47" s="61"/>
      <c r="O47" s="61"/>
      <c r="P47" s="61"/>
      <c r="Q47" s="61"/>
      <c r="R47" s="61"/>
      <c r="S47" s="61"/>
      <c r="T47" s="61"/>
      <c r="U47" s="69"/>
      <c r="V47" s="69"/>
      <c r="W47" s="69"/>
      <c r="X47" s="69"/>
      <c r="Y47" s="43">
        <f t="shared" si="17"/>
        <v>0</v>
      </c>
      <c r="Z47" s="46">
        <f t="shared" si="10"/>
        <v>0</v>
      </c>
    </row>
    <row r="48" spans="1:26" ht="18" hidden="1">
      <c r="A48" s="57"/>
      <c r="B48" s="18"/>
      <c r="C48" s="53"/>
      <c r="D48" s="17">
        <f t="shared" si="15"/>
        <v>0</v>
      </c>
      <c r="E48" s="21"/>
      <c r="F48" s="54">
        <f t="shared" si="16"/>
        <v>0</v>
      </c>
      <c r="G48" s="54"/>
      <c r="H48" s="55"/>
      <c r="I48" s="17" t="e">
        <f t="shared" si="11"/>
        <v>#DIV/0!</v>
      </c>
      <c r="J48" s="49" t="e">
        <f t="shared" si="18"/>
        <v>#DIV/0!</v>
      </c>
      <c r="K48" s="82">
        <f t="shared" si="8"/>
        <v>0</v>
      </c>
      <c r="L48" s="43">
        <f t="shared" si="19"/>
        <v>0</v>
      </c>
      <c r="M48" s="61"/>
      <c r="N48" s="61"/>
      <c r="O48" s="61"/>
      <c r="P48" s="69"/>
      <c r="Q48" s="69"/>
      <c r="R48" s="69"/>
      <c r="S48" s="69"/>
      <c r="T48" s="69"/>
      <c r="U48" s="69"/>
      <c r="V48" s="69"/>
      <c r="W48" s="69"/>
      <c r="X48" s="69"/>
      <c r="Y48" s="43">
        <f t="shared" si="17"/>
        <v>0</v>
      </c>
      <c r="Z48" s="46">
        <f t="shared" si="10"/>
        <v>0</v>
      </c>
    </row>
    <row r="49" spans="1:26" ht="18" hidden="1">
      <c r="A49" s="57"/>
      <c r="B49" s="18"/>
      <c r="C49" s="53"/>
      <c r="D49" s="17">
        <f t="shared" si="15"/>
        <v>0</v>
      </c>
      <c r="E49" s="21"/>
      <c r="F49" s="54">
        <f t="shared" si="16"/>
        <v>0</v>
      </c>
      <c r="G49" s="55"/>
      <c r="H49" s="55"/>
      <c r="I49" s="17" t="e">
        <f t="shared" si="11"/>
        <v>#DIV/0!</v>
      </c>
      <c r="J49" s="49" t="e">
        <f t="shared" si="18"/>
        <v>#DIV/0!</v>
      </c>
      <c r="K49" s="82">
        <f t="shared" si="8"/>
        <v>0</v>
      </c>
      <c r="L49" s="43">
        <f t="shared" si="19"/>
        <v>0</v>
      </c>
      <c r="M49" s="61"/>
      <c r="N49" s="61"/>
      <c r="O49" s="61"/>
      <c r="P49" s="69"/>
      <c r="Q49" s="69"/>
      <c r="R49" s="69"/>
      <c r="S49" s="69"/>
      <c r="T49" s="61"/>
      <c r="U49" s="61"/>
      <c r="V49" s="61"/>
      <c r="W49" s="61"/>
      <c r="X49" s="61"/>
      <c r="Y49" s="43">
        <f t="shared" si="17"/>
        <v>0</v>
      </c>
      <c r="Z49" s="46">
        <f t="shared" si="10"/>
        <v>0</v>
      </c>
    </row>
    <row r="50" spans="1:26" ht="18" hidden="1">
      <c r="A50" s="57"/>
      <c r="B50" s="18"/>
      <c r="C50" s="53"/>
      <c r="D50" s="17">
        <f t="shared" si="15"/>
        <v>0</v>
      </c>
      <c r="E50" s="21"/>
      <c r="F50" s="54">
        <f t="shared" si="16"/>
        <v>0</v>
      </c>
      <c r="G50" s="54"/>
      <c r="H50" s="55"/>
      <c r="I50" s="17" t="e">
        <f t="shared" si="11"/>
        <v>#DIV/0!</v>
      </c>
      <c r="J50" s="49" t="e">
        <f t="shared" si="18"/>
        <v>#DIV/0!</v>
      </c>
      <c r="K50" s="82">
        <f t="shared" si="8"/>
        <v>0</v>
      </c>
      <c r="L50" s="43">
        <f t="shared" si="19"/>
        <v>0</v>
      </c>
      <c r="M50" s="61"/>
      <c r="N50" s="61"/>
      <c r="O50" s="61"/>
      <c r="P50" s="61"/>
      <c r="Q50" s="61"/>
      <c r="R50" s="69"/>
      <c r="S50" s="69"/>
      <c r="T50" s="69"/>
      <c r="U50" s="69"/>
      <c r="V50" s="69"/>
      <c r="W50" s="69"/>
      <c r="X50" s="69"/>
      <c r="Y50" s="43">
        <f t="shared" si="17"/>
        <v>0</v>
      </c>
      <c r="Z50" s="46">
        <f t="shared" si="10"/>
        <v>0</v>
      </c>
    </row>
    <row r="51" spans="1:26" ht="18" hidden="1">
      <c r="A51" s="57"/>
      <c r="B51" s="18"/>
      <c r="C51" s="53"/>
      <c r="D51" s="17">
        <f t="shared" si="15"/>
        <v>0</v>
      </c>
      <c r="E51" s="21"/>
      <c r="F51" s="54">
        <f t="shared" si="16"/>
        <v>0</v>
      </c>
      <c r="G51" s="55"/>
      <c r="H51" s="55"/>
      <c r="I51" s="17" t="e">
        <f t="shared" si="11"/>
        <v>#DIV/0!</v>
      </c>
      <c r="J51" s="49" t="e">
        <f t="shared" si="18"/>
        <v>#DIV/0!</v>
      </c>
      <c r="K51" s="82">
        <f t="shared" si="8"/>
        <v>0</v>
      </c>
      <c r="L51" s="43">
        <f t="shared" si="19"/>
        <v>0</v>
      </c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43">
        <f t="shared" si="17"/>
        <v>0</v>
      </c>
      <c r="Z51" s="46">
        <f t="shared" si="10"/>
        <v>0</v>
      </c>
    </row>
    <row r="52" spans="1:26" ht="18" hidden="1">
      <c r="A52" s="57"/>
      <c r="B52" s="18"/>
      <c r="C52" s="53"/>
      <c r="D52" s="17">
        <f t="shared" si="15"/>
        <v>0</v>
      </c>
      <c r="E52" s="21"/>
      <c r="F52" s="54">
        <f t="shared" si="16"/>
        <v>0</v>
      </c>
      <c r="G52" s="55"/>
      <c r="H52" s="55"/>
      <c r="I52" s="17" t="e">
        <f t="shared" si="11"/>
        <v>#DIV/0!</v>
      </c>
      <c r="J52" s="49" t="e">
        <f t="shared" si="18"/>
        <v>#DIV/0!</v>
      </c>
      <c r="K52" s="82">
        <f t="shared" si="8"/>
        <v>0</v>
      </c>
      <c r="L52" s="43">
        <f t="shared" si="19"/>
        <v>0</v>
      </c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43">
        <f t="shared" si="17"/>
        <v>0</v>
      </c>
      <c r="Z52" s="46">
        <f t="shared" si="10"/>
        <v>0</v>
      </c>
    </row>
    <row r="53" spans="1:26" ht="18" hidden="1">
      <c r="A53" s="57"/>
      <c r="B53" s="18"/>
      <c r="C53" s="53"/>
      <c r="D53" s="17">
        <f t="shared" si="15"/>
        <v>0</v>
      </c>
      <c r="E53" s="21"/>
      <c r="F53" s="54">
        <f t="shared" si="16"/>
        <v>0</v>
      </c>
      <c r="G53" s="55"/>
      <c r="H53" s="55"/>
      <c r="I53" s="17"/>
      <c r="J53" s="49" t="e">
        <f t="shared" si="18"/>
        <v>#DIV/0!</v>
      </c>
      <c r="K53" s="82">
        <f t="shared" si="8"/>
        <v>0</v>
      </c>
      <c r="L53" s="43">
        <f t="shared" si="19"/>
        <v>0</v>
      </c>
      <c r="M53" s="61"/>
      <c r="N53" s="61"/>
      <c r="O53" s="61"/>
      <c r="P53" s="61"/>
      <c r="Q53" s="61"/>
      <c r="R53" s="61"/>
      <c r="S53" s="61"/>
      <c r="T53" s="61"/>
      <c r="U53" s="68"/>
      <c r="V53" s="68"/>
      <c r="W53" s="68"/>
      <c r="X53" s="68"/>
      <c r="Y53" s="43">
        <f t="shared" si="17"/>
        <v>0</v>
      </c>
      <c r="Z53" s="46">
        <f t="shared" si="10"/>
        <v>0</v>
      </c>
    </row>
    <row r="54" spans="1:26" ht="18" hidden="1">
      <c r="A54" s="57"/>
      <c r="B54" s="18"/>
      <c r="C54" s="53"/>
      <c r="D54" s="17">
        <f t="shared" si="15"/>
        <v>0</v>
      </c>
      <c r="E54" s="21"/>
      <c r="F54" s="54">
        <f t="shared" si="16"/>
        <v>0</v>
      </c>
      <c r="G54" s="55"/>
      <c r="H54" s="55"/>
      <c r="I54" s="17" t="e">
        <f t="shared" si="11"/>
        <v>#DIV/0!</v>
      </c>
      <c r="J54" s="49" t="e">
        <f t="shared" si="18"/>
        <v>#DIV/0!</v>
      </c>
      <c r="K54" s="82">
        <f t="shared" si="8"/>
        <v>0</v>
      </c>
      <c r="L54" s="43">
        <f t="shared" si="19"/>
        <v>0</v>
      </c>
      <c r="M54" s="61"/>
      <c r="N54" s="61"/>
      <c r="O54" s="61"/>
      <c r="P54" s="61"/>
      <c r="Q54" s="61"/>
      <c r="R54" s="61"/>
      <c r="S54" s="61"/>
      <c r="T54" s="61"/>
      <c r="U54" s="68"/>
      <c r="V54" s="68"/>
      <c r="W54" s="68"/>
      <c r="X54" s="68"/>
      <c r="Y54" s="43">
        <f t="shared" si="17"/>
        <v>0</v>
      </c>
      <c r="Z54" s="46">
        <f t="shared" si="10"/>
        <v>0</v>
      </c>
    </row>
    <row r="55" spans="1:26" ht="18" hidden="1">
      <c r="A55" s="57"/>
      <c r="B55" s="18"/>
      <c r="C55" s="53"/>
      <c r="D55" s="17">
        <f t="shared" si="15"/>
        <v>0</v>
      </c>
      <c r="E55" s="21"/>
      <c r="F55" s="54">
        <f t="shared" si="16"/>
        <v>0</v>
      </c>
      <c r="G55" s="54"/>
      <c r="H55" s="55"/>
      <c r="I55" s="17" t="e">
        <f t="shared" si="11"/>
        <v>#DIV/0!</v>
      </c>
      <c r="J55" s="49" t="e">
        <f t="shared" si="18"/>
        <v>#DIV/0!</v>
      </c>
      <c r="K55" s="82">
        <f t="shared" si="8"/>
        <v>0</v>
      </c>
      <c r="L55" s="43">
        <f t="shared" si="19"/>
        <v>0</v>
      </c>
      <c r="M55" s="61"/>
      <c r="N55" s="61"/>
      <c r="O55" s="61"/>
      <c r="P55" s="61"/>
      <c r="Q55" s="61"/>
      <c r="R55" s="61"/>
      <c r="S55" s="62"/>
      <c r="T55" s="61"/>
      <c r="U55" s="61"/>
      <c r="V55" s="61"/>
      <c r="W55" s="61"/>
      <c r="X55" s="61"/>
      <c r="Y55" s="43">
        <f t="shared" si="17"/>
        <v>0</v>
      </c>
      <c r="Z55" s="46">
        <f t="shared" si="10"/>
        <v>0</v>
      </c>
    </row>
    <row r="56" spans="1:26" ht="18" hidden="1">
      <c r="A56" s="57"/>
      <c r="B56" s="18"/>
      <c r="C56" s="53"/>
      <c r="D56" s="17">
        <f t="shared" si="15"/>
        <v>0</v>
      </c>
      <c r="E56" s="21"/>
      <c r="F56" s="54">
        <f t="shared" si="16"/>
        <v>0</v>
      </c>
      <c r="G56" s="54"/>
      <c r="H56" s="55"/>
      <c r="I56" s="39" t="e">
        <f t="shared" si="11"/>
        <v>#DIV/0!</v>
      </c>
      <c r="J56" s="49" t="e">
        <f t="shared" si="18"/>
        <v>#DIV/0!</v>
      </c>
      <c r="K56" s="82">
        <f t="shared" si="8"/>
        <v>0</v>
      </c>
      <c r="L56" s="43">
        <f t="shared" si="19"/>
        <v>0</v>
      </c>
      <c r="M56" s="61"/>
      <c r="N56" s="61"/>
      <c r="O56" s="61"/>
      <c r="P56" s="61"/>
      <c r="Q56" s="61"/>
      <c r="R56" s="61"/>
      <c r="S56" s="62"/>
      <c r="T56" s="61"/>
      <c r="U56" s="61"/>
      <c r="V56" s="61"/>
      <c r="W56" s="61"/>
      <c r="X56" s="61"/>
      <c r="Y56" s="43">
        <f t="shared" si="17"/>
        <v>0</v>
      </c>
      <c r="Z56" s="46">
        <f t="shared" si="10"/>
        <v>0</v>
      </c>
    </row>
    <row r="57" spans="1:26" ht="18" hidden="1">
      <c r="A57" s="57"/>
      <c r="B57" s="18"/>
      <c r="C57" s="53"/>
      <c r="D57" s="17">
        <f t="shared" si="15"/>
        <v>0</v>
      </c>
      <c r="E57" s="21"/>
      <c r="F57" s="54">
        <f t="shared" si="16"/>
        <v>0</v>
      </c>
      <c r="G57" s="54"/>
      <c r="H57" s="55"/>
      <c r="I57" s="17" t="e">
        <f t="shared" si="11"/>
        <v>#DIV/0!</v>
      </c>
      <c r="J57" s="49" t="e">
        <f t="shared" si="18"/>
        <v>#DIV/0!</v>
      </c>
      <c r="K57" s="82">
        <f t="shared" si="8"/>
        <v>0</v>
      </c>
      <c r="L57" s="43">
        <f t="shared" si="19"/>
        <v>0</v>
      </c>
      <c r="M57" s="61"/>
      <c r="N57" s="61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43">
        <f t="shared" si="17"/>
        <v>0</v>
      </c>
      <c r="Z57" s="46">
        <f t="shared" si="10"/>
        <v>0</v>
      </c>
    </row>
    <row r="58" spans="1:26" ht="18" hidden="1">
      <c r="A58" s="57"/>
      <c r="B58" s="18"/>
      <c r="C58" s="53"/>
      <c r="D58" s="17">
        <f t="shared" si="15"/>
        <v>0</v>
      </c>
      <c r="E58" s="21"/>
      <c r="F58" s="54">
        <f t="shared" si="16"/>
        <v>0</v>
      </c>
      <c r="G58" s="59"/>
      <c r="H58" s="13"/>
      <c r="I58" s="39" t="e">
        <f>H58/D58*100</f>
        <v>#DIV/0!</v>
      </c>
      <c r="J58" s="49" t="e">
        <f t="shared" si="18"/>
        <v>#DIV/0!</v>
      </c>
      <c r="K58" s="82">
        <f t="shared" si="8"/>
        <v>0</v>
      </c>
      <c r="L58" s="43">
        <f t="shared" si="19"/>
        <v>0</v>
      </c>
      <c r="M58" s="61"/>
      <c r="N58" s="61"/>
      <c r="O58" s="61"/>
      <c r="P58" s="69"/>
      <c r="Q58" s="69"/>
      <c r="R58" s="69"/>
      <c r="S58" s="69"/>
      <c r="T58" s="69"/>
      <c r="U58" s="69"/>
      <c r="V58" s="69"/>
      <c r="W58" s="69"/>
      <c r="X58" s="69"/>
      <c r="Y58" s="43">
        <f t="shared" si="17"/>
        <v>0</v>
      </c>
      <c r="Z58" s="46">
        <f>Y58-D58</f>
        <v>0</v>
      </c>
    </row>
    <row r="59" spans="1:26" ht="18">
      <c r="A59" s="22"/>
      <c r="B59" s="6"/>
      <c r="C59" s="23" t="s">
        <v>12</v>
      </c>
      <c r="D59" s="8">
        <f>D11+D43</f>
        <v>150361299.97</v>
      </c>
      <c r="E59" s="8">
        <f>E11+E43</f>
        <v>148561799.97</v>
      </c>
      <c r="F59" s="8">
        <f>F11+F43</f>
        <v>1799500</v>
      </c>
      <c r="G59" s="8">
        <f>G11+G43</f>
        <v>1799500</v>
      </c>
      <c r="H59" s="8">
        <f>H11+H43</f>
        <v>20046372.310000002</v>
      </c>
      <c r="I59" s="8">
        <f>H59/D59*100</f>
        <v>13.33213553886515</v>
      </c>
      <c r="J59" s="77">
        <f>(H59/(M59+N59+O59+P59+Q59+R59+S59+T59+U59+V59+W59))*100</f>
        <v>13.742135563818595</v>
      </c>
      <c r="K59" s="82">
        <f t="shared" si="8"/>
        <v>130314927.66</v>
      </c>
      <c r="L59" s="48">
        <f>(M59+N59+O59)-H59</f>
        <v>10632549.289999995</v>
      </c>
      <c r="M59" s="48">
        <f aca="true" t="shared" si="20" ref="M59:X59">M43+M28+M11</f>
        <v>3100000</v>
      </c>
      <c r="N59" s="48">
        <f t="shared" si="20"/>
        <v>18754577.81</v>
      </c>
      <c r="O59" s="48">
        <f t="shared" si="20"/>
        <v>8824343.79</v>
      </c>
      <c r="P59" s="48">
        <f t="shared" si="20"/>
        <v>17339179.83</v>
      </c>
      <c r="Q59" s="48">
        <f t="shared" si="20"/>
        <v>17494593.83</v>
      </c>
      <c r="R59" s="48">
        <f t="shared" si="20"/>
        <v>22117853.55</v>
      </c>
      <c r="S59" s="48">
        <f t="shared" si="20"/>
        <v>21140362.18</v>
      </c>
      <c r="T59" s="48">
        <f t="shared" si="20"/>
        <v>19620000</v>
      </c>
      <c r="U59" s="48">
        <f t="shared" si="20"/>
        <v>6944322.279999999</v>
      </c>
      <c r="V59" s="48">
        <f t="shared" si="20"/>
        <v>5820000</v>
      </c>
      <c r="W59" s="48">
        <f t="shared" si="20"/>
        <v>4720000</v>
      </c>
      <c r="X59" s="48">
        <f t="shared" si="20"/>
        <v>4486066.7</v>
      </c>
      <c r="Y59" s="43">
        <f t="shared" si="17"/>
        <v>150361299.96999997</v>
      </c>
      <c r="Z59" s="46">
        <f>Y59-D59</f>
        <v>0</v>
      </c>
    </row>
  </sheetData>
  <sheetProtection/>
  <mergeCells count="29">
    <mergeCell ref="J20:J27"/>
    <mergeCell ref="A42:G42"/>
    <mergeCell ref="J13:J18"/>
    <mergeCell ref="D1:E1"/>
    <mergeCell ref="A7:A8"/>
    <mergeCell ref="C7:C8"/>
    <mergeCell ref="D7:D8"/>
    <mergeCell ref="E7:E8"/>
    <mergeCell ref="A4:I4"/>
    <mergeCell ref="A3:I3"/>
    <mergeCell ref="I7:I8"/>
    <mergeCell ref="F7:F8"/>
    <mergeCell ref="O8:O9"/>
    <mergeCell ref="V8:V9"/>
    <mergeCell ref="W8:W9"/>
    <mergeCell ref="P8:P9"/>
    <mergeCell ref="Q8:Q9"/>
    <mergeCell ref="R8:R9"/>
    <mergeCell ref="S8:S9"/>
    <mergeCell ref="X8:X9"/>
    <mergeCell ref="Y8:Y9"/>
    <mergeCell ref="J7:J8"/>
    <mergeCell ref="A10:J10"/>
    <mergeCell ref="T8:T9"/>
    <mergeCell ref="U8:U9"/>
    <mergeCell ref="L8:L9"/>
    <mergeCell ref="M8:M9"/>
    <mergeCell ref="N8:N9"/>
    <mergeCell ref="H7:H8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2019-03-12T15:08:12Z</dcterms:modified>
  <cp:category/>
  <cp:version/>
  <cp:contentType/>
  <cp:contentStatus/>
</cp:coreProperties>
</file>